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5B90DwT7TBEdXd1VDM5T0RhRE0\Administration\Confidential\Board\Board- Mgmt Meetings\2023, August 14\"/>
    </mc:Choice>
  </mc:AlternateContent>
  <xr:revisionPtr revIDLastSave="0" documentId="13_ncr:1_{65942E91-B518-4691-8198-14989B0BE2C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rofit and Lo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B42" i="1"/>
  <c r="B41" i="1"/>
  <c r="B40" i="1"/>
  <c r="B38" i="1"/>
  <c r="B32" i="1"/>
  <c r="B31" i="1"/>
  <c r="B30" i="1"/>
  <c r="B28" i="1"/>
  <c r="B27" i="1"/>
  <c r="B26" i="1"/>
  <c r="B25" i="1"/>
  <c r="B24" i="1"/>
  <c r="B23" i="1"/>
  <c r="B22" i="1"/>
  <c r="B21" i="1"/>
  <c r="B20" i="1"/>
  <c r="B14" i="1"/>
  <c r="B13" i="1"/>
  <c r="B10" i="1"/>
  <c r="B9" i="1"/>
  <c r="B8" i="1"/>
  <c r="B7" i="1"/>
  <c r="B18" i="1" s="1"/>
  <c r="I29" i="1"/>
  <c r="I25" i="1"/>
  <c r="I24" i="1"/>
  <c r="I19" i="1"/>
  <c r="F44" i="1"/>
  <c r="H43" i="1"/>
  <c r="G43" i="1"/>
  <c r="F43" i="1"/>
  <c r="E43" i="1"/>
  <c r="D43" i="1"/>
  <c r="C43" i="1"/>
  <c r="F42" i="1"/>
  <c r="D42" i="1"/>
  <c r="C42" i="1"/>
  <c r="F41" i="1"/>
  <c r="E41" i="1"/>
  <c r="D41" i="1"/>
  <c r="C41" i="1"/>
  <c r="H40" i="1"/>
  <c r="G40" i="1"/>
  <c r="F40" i="1"/>
  <c r="E40" i="1"/>
  <c r="D40" i="1"/>
  <c r="C40" i="1"/>
  <c r="H38" i="1"/>
  <c r="G38" i="1"/>
  <c r="F38" i="1"/>
  <c r="D38" i="1"/>
  <c r="C38" i="1"/>
  <c r="E37" i="1"/>
  <c r="E36" i="1"/>
  <c r="H33" i="1"/>
  <c r="I33" i="1" s="1"/>
  <c r="G33" i="1"/>
  <c r="F33" i="1"/>
  <c r="E33" i="1"/>
  <c r="H32" i="1"/>
  <c r="I32" i="1" s="1"/>
  <c r="G32" i="1"/>
  <c r="F32" i="1"/>
  <c r="E32" i="1"/>
  <c r="D32" i="1"/>
  <c r="C32" i="1"/>
  <c r="H31" i="1"/>
  <c r="I31" i="1" s="1"/>
  <c r="G31" i="1"/>
  <c r="F31" i="1"/>
  <c r="E31" i="1"/>
  <c r="D31" i="1"/>
  <c r="C31" i="1"/>
  <c r="H30" i="1"/>
  <c r="I30" i="1" s="1"/>
  <c r="G30" i="1"/>
  <c r="F30" i="1"/>
  <c r="E30" i="1"/>
  <c r="D30" i="1"/>
  <c r="C30" i="1"/>
  <c r="F29" i="1"/>
  <c r="H28" i="1"/>
  <c r="I28" i="1" s="1"/>
  <c r="G28" i="1"/>
  <c r="F28" i="1"/>
  <c r="E28" i="1"/>
  <c r="D28" i="1"/>
  <c r="C28" i="1"/>
  <c r="H27" i="1"/>
  <c r="I27" i="1" s="1"/>
  <c r="G27" i="1"/>
  <c r="F27" i="1"/>
  <c r="D27" i="1"/>
  <c r="C27" i="1"/>
  <c r="H26" i="1"/>
  <c r="G26" i="1"/>
  <c r="F26" i="1"/>
  <c r="E26" i="1"/>
  <c r="D26" i="1"/>
  <c r="C26" i="1"/>
  <c r="F25" i="1"/>
  <c r="E25" i="1"/>
  <c r="D25" i="1"/>
  <c r="C25" i="1"/>
  <c r="F24" i="1"/>
  <c r="E24" i="1"/>
  <c r="D24" i="1"/>
  <c r="C24" i="1"/>
  <c r="H23" i="1"/>
  <c r="I23" i="1" s="1"/>
  <c r="G23" i="1"/>
  <c r="E23" i="1"/>
  <c r="D23" i="1"/>
  <c r="C23" i="1"/>
  <c r="H22" i="1"/>
  <c r="I22" i="1" s="1"/>
  <c r="G22" i="1"/>
  <c r="F22" i="1"/>
  <c r="E22" i="1"/>
  <c r="D22" i="1"/>
  <c r="C22" i="1"/>
  <c r="H21" i="1"/>
  <c r="I21" i="1" s="1"/>
  <c r="G21" i="1"/>
  <c r="F21" i="1"/>
  <c r="E21" i="1"/>
  <c r="D21" i="1"/>
  <c r="C21" i="1"/>
  <c r="H20" i="1"/>
  <c r="I20" i="1" s="1"/>
  <c r="G20" i="1"/>
  <c r="F20" i="1"/>
  <c r="E20" i="1"/>
  <c r="D20" i="1"/>
  <c r="C20" i="1"/>
  <c r="H16" i="1"/>
  <c r="E15" i="1"/>
  <c r="H14" i="1"/>
  <c r="G14" i="1"/>
  <c r="F14" i="1"/>
  <c r="E14" i="1"/>
  <c r="D14" i="1"/>
  <c r="C14" i="1"/>
  <c r="G13" i="1"/>
  <c r="F13" i="1"/>
  <c r="E13" i="1"/>
  <c r="D13" i="1"/>
  <c r="C13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G7" i="1"/>
  <c r="F7" i="1"/>
  <c r="E7" i="1"/>
  <c r="D7" i="1"/>
  <c r="C7" i="1"/>
  <c r="E17" i="1" l="1"/>
  <c r="B46" i="1"/>
  <c r="C34" i="1"/>
  <c r="G34" i="1"/>
  <c r="E45" i="1"/>
  <c r="F11" i="1"/>
  <c r="I26" i="1"/>
  <c r="G11" i="1"/>
  <c r="C17" i="1"/>
  <c r="G17" i="1"/>
  <c r="E38" i="1"/>
  <c r="D45" i="1"/>
  <c r="D11" i="1"/>
  <c r="H18" i="1"/>
  <c r="E11" i="1"/>
  <c r="E18" i="1" s="1"/>
  <c r="E34" i="1"/>
  <c r="F45" i="1"/>
  <c r="F17" i="1"/>
  <c r="F18" i="1" s="1"/>
  <c r="F34" i="1"/>
  <c r="D34" i="1"/>
  <c r="G45" i="1"/>
  <c r="C11" i="1"/>
  <c r="D17" i="1"/>
  <c r="C45" i="1"/>
  <c r="G18" i="1" l="1"/>
  <c r="G46" i="1" s="1"/>
  <c r="D18" i="1"/>
  <c r="D46" i="1" s="1"/>
  <c r="H46" i="1"/>
  <c r="I18" i="1"/>
  <c r="F46" i="1"/>
  <c r="E46" i="1"/>
  <c r="C18" i="1"/>
  <c r="C46" i="1" l="1"/>
</calcChain>
</file>

<file path=xl/sharedStrings.xml><?xml version="1.0" encoding="utf-8"?>
<sst xmlns="http://schemas.openxmlformats.org/spreadsheetml/2006/main" count="81" uniqueCount="80">
  <si>
    <t>Jan - Dec. 2018</t>
  </si>
  <si>
    <t>Jan - Dec. 2019</t>
  </si>
  <si>
    <t>Jan - Dec. 2020</t>
  </si>
  <si>
    <t>Jan - Dec. 2021</t>
  </si>
  <si>
    <t>Jan - Dec. 2022</t>
  </si>
  <si>
    <t xml:space="preserve">   INCOME</t>
  </si>
  <si>
    <t xml:space="preserve">      Contract Analysis Services</t>
  </si>
  <si>
    <t xml:space="preserve">      Software Sales</t>
  </si>
  <si>
    <t xml:space="preserve">      Software Subscription</t>
  </si>
  <si>
    <t xml:space="preserve">      Software Support Subscription</t>
  </si>
  <si>
    <t xml:space="preserve">   COST OF GOODS SOLD</t>
  </si>
  <si>
    <t xml:space="preserve">      5010 Direct Contract Services</t>
  </si>
  <si>
    <t xml:space="preserve">      5022 Distributor Commissions</t>
  </si>
  <si>
    <t xml:space="preserve">      Inventory Shrinkage</t>
  </si>
  <si>
    <t xml:space="preserve">      License Fees</t>
  </si>
  <si>
    <t>GROSS PROFIT</t>
  </si>
  <si>
    <t>EXPENSES</t>
  </si>
  <si>
    <t xml:space="preserve">   5110 Bank Charges</t>
  </si>
  <si>
    <t xml:space="preserve">   5160 Dues, Subscriptions &amp; Memb.</t>
  </si>
  <si>
    <t xml:space="preserve">   5170 Insurance</t>
  </si>
  <si>
    <t xml:space="preserve">   5190 R&amp;D Lab Materials &amp; Services</t>
  </si>
  <si>
    <t xml:space="preserve">   5460 Rent</t>
  </si>
  <si>
    <t xml:space="preserve">   5465 Salaries &amp; Wages</t>
  </si>
  <si>
    <t xml:space="preserve">   5508 Scientific Advisors</t>
  </si>
  <si>
    <t xml:space="preserve">   5509 Subcontractor IT</t>
  </si>
  <si>
    <t xml:space="preserve">   5510 Telephone &amp; Communications</t>
  </si>
  <si>
    <t xml:space="preserve">   66900 Reconciliation Discrepancies</t>
  </si>
  <si>
    <t xml:space="preserve">   Legal &amp; Audit Fees</t>
  </si>
  <si>
    <t xml:space="preserve">   Marketing</t>
  </si>
  <si>
    <t xml:space="preserve">   Office Expenses</t>
  </si>
  <si>
    <t xml:space="preserve">   Payroll Expenses</t>
  </si>
  <si>
    <t>Total Expenses</t>
  </si>
  <si>
    <t>OTHER INCOME</t>
  </si>
  <si>
    <t xml:space="preserve">   5549 Other Income</t>
  </si>
  <si>
    <t xml:space="preserve">   5550 Interest Income</t>
  </si>
  <si>
    <t>Total Other Income</t>
  </si>
  <si>
    <t>OTHER EXPENSES</t>
  </si>
  <si>
    <t xml:space="preserve">   Unrealized Gain or Loss</t>
  </si>
  <si>
    <t xml:space="preserve">   5570 Amortization</t>
  </si>
  <si>
    <t xml:space="preserve">   5585 Impairment Loss</t>
  </si>
  <si>
    <t xml:space="preserve">   5590 Loss (Gain) on Exchange</t>
  </si>
  <si>
    <t xml:space="preserve">   Reconciliation Discrepancies-1</t>
  </si>
  <si>
    <t>Total Other Expenses</t>
  </si>
  <si>
    <t>PROFIT</t>
  </si>
  <si>
    <t>Chenomx Inc.</t>
  </si>
  <si>
    <t>Profit and Loss</t>
  </si>
  <si>
    <t>Total Income</t>
  </si>
  <si>
    <t>Total Cost of Goods Sold</t>
  </si>
  <si>
    <t xml:space="preserve"> 2023 Projected Total</t>
  </si>
  <si>
    <t>Milestones:</t>
  </si>
  <si>
    <t>Eric Taylor started</t>
  </si>
  <si>
    <t>August, 2019</t>
  </si>
  <si>
    <t>Nazain Assempour left</t>
  </si>
  <si>
    <t>August, 2021</t>
  </si>
  <si>
    <t>End of rental at TEC</t>
  </si>
  <si>
    <t>January, 2021</t>
  </si>
  <si>
    <t>Covid Restrictions</t>
  </si>
  <si>
    <t>March 2020 to March 2022</t>
  </si>
  <si>
    <t>Last SMASH Conference</t>
  </si>
  <si>
    <t>Sept, 2019</t>
  </si>
  <si>
    <t>Release of V10 beta</t>
  </si>
  <si>
    <t>May, 2023</t>
  </si>
  <si>
    <t>Full release of V10</t>
  </si>
  <si>
    <t>June, 2023</t>
  </si>
  <si>
    <t>Jan - Dec. 2017</t>
  </si>
  <si>
    <t>Nazain Assempour maternity</t>
  </si>
  <si>
    <t>Release of V9</t>
  </si>
  <si>
    <t>July, 2021</t>
  </si>
  <si>
    <t>Charles Smith left</t>
  </si>
  <si>
    <t>Dec., 2019</t>
  </si>
  <si>
    <t>Oct., 2017</t>
  </si>
  <si>
    <t>Nazanin Assempour started</t>
  </si>
  <si>
    <t>Release of V8.6</t>
  </si>
  <si>
    <t>June, 2020</t>
  </si>
  <si>
    <t>Release of V8.5</t>
  </si>
  <si>
    <t>Aug. 2020-2021</t>
  </si>
  <si>
    <t>January 2017 - July 2023</t>
  </si>
  <si>
    <t>Pascal Mercier started</t>
  </si>
  <si>
    <t>April, 2023</t>
  </si>
  <si>
    <t>Jan - Aug.,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</si>
</sst>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\ _€"/>
    <numFmt numFmtId="165" formatCode="_-[$$-1009]* #,##0.00_-;\-[$$-1009]* #,##0.00_-;_-[$$-1009]* &quot;-&quot;??_-;_-@_-"/>
  </numFmts>
  <fonts count="11" x14ac:knownFonts="1">
    <font>
      <sz val="11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 wrapText="1"/>
    </xf>
    <xf numFmtId="165" fontId="6" fillId="0" borderId="0" xfId="1" applyNumberFormat="1" applyFont="1" applyBorder="1" applyAlignment="1">
      <alignment wrapText="1"/>
    </xf>
    <xf numFmtId="165" fontId="6" fillId="0" borderId="1" xfId="1" applyNumberFormat="1" applyFont="1" applyBorder="1" applyAlignment="1">
      <alignment wrapText="1"/>
    </xf>
    <xf numFmtId="165" fontId="6" fillId="0" borderId="0" xfId="0" applyNumberFormat="1" applyFont="1"/>
    <xf numFmtId="0" fontId="6" fillId="0" borderId="0" xfId="0" applyFont="1"/>
    <xf numFmtId="165" fontId="6" fillId="0" borderId="1" xfId="0" applyNumberFormat="1" applyFont="1" applyBorder="1"/>
    <xf numFmtId="0" fontId="7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/>
    <xf numFmtId="17" fontId="9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Chenomx</a:t>
            </a:r>
            <a:r>
              <a:rPr lang="en-CA" baseline="0"/>
              <a:t> Income Summary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'Profit and Loss'!$A$6</c:f>
              <c:strCache>
                <c:ptCount val="1"/>
                <c:pt idx="0">
                  <c:v>  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Loss'!$B$6:$H$6</c:f>
            </c:numRef>
          </c:val>
          <c:extLst>
            <c:ext xmlns:c16="http://schemas.microsoft.com/office/drawing/2014/chart" uri="{C3380CC4-5D6E-409C-BE32-E72D297353CC}">
              <c16:uniqueId val="{00000000-34AE-4F0D-98D6-414D425C2DFB}"/>
            </c:ext>
          </c:extLst>
        </c:ser>
        <c:ser>
          <c:idx val="1"/>
          <c:order val="1"/>
          <c:tx>
            <c:strRef>
              <c:f>'Profit and Loss'!$A$7</c:f>
              <c:strCache>
                <c:ptCount val="1"/>
                <c:pt idx="0">
                  <c:v>      Contract Analysis Services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Loss'!$B$7:$H$7</c:f>
            </c:numRef>
          </c:val>
          <c:extLst>
            <c:ext xmlns:c16="http://schemas.microsoft.com/office/drawing/2014/chart" uri="{C3380CC4-5D6E-409C-BE32-E72D297353CC}">
              <c16:uniqueId val="{00000001-34AE-4F0D-98D6-414D425C2DFB}"/>
            </c:ext>
          </c:extLst>
        </c:ser>
        <c:ser>
          <c:idx val="2"/>
          <c:order val="2"/>
          <c:tx>
            <c:strRef>
              <c:f>'Profit and Loss'!$A$8</c:f>
              <c:strCache>
                <c:ptCount val="1"/>
                <c:pt idx="0">
                  <c:v>      Software Sales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Loss'!$B$8:$H$8</c:f>
            </c:numRef>
          </c:val>
          <c:extLst>
            <c:ext xmlns:c16="http://schemas.microsoft.com/office/drawing/2014/chart" uri="{C3380CC4-5D6E-409C-BE32-E72D297353CC}">
              <c16:uniqueId val="{00000002-34AE-4F0D-98D6-414D425C2DFB}"/>
            </c:ext>
          </c:extLst>
        </c:ser>
        <c:ser>
          <c:idx val="3"/>
          <c:order val="3"/>
          <c:tx>
            <c:strRef>
              <c:f>'Profit and Loss'!$A$9</c:f>
              <c:strCache>
                <c:ptCount val="1"/>
                <c:pt idx="0">
                  <c:v>      Software Subscription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Loss'!$B$9:$H$9</c:f>
            </c:numRef>
          </c:val>
          <c:extLst>
            <c:ext xmlns:c16="http://schemas.microsoft.com/office/drawing/2014/chart" uri="{C3380CC4-5D6E-409C-BE32-E72D297353CC}">
              <c16:uniqueId val="{00000003-34AE-4F0D-98D6-414D425C2DFB}"/>
            </c:ext>
          </c:extLst>
        </c:ser>
        <c:ser>
          <c:idx val="4"/>
          <c:order val="4"/>
          <c:tx>
            <c:strRef>
              <c:f>'Profit and Loss'!$A$10</c:f>
              <c:strCache>
                <c:ptCount val="1"/>
                <c:pt idx="0">
                  <c:v>      Software Support Subscription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Loss'!$B$10:$H$10</c:f>
            </c:numRef>
          </c:val>
          <c:extLst>
            <c:ext xmlns:c16="http://schemas.microsoft.com/office/drawing/2014/chart" uri="{C3380CC4-5D6E-409C-BE32-E72D297353CC}">
              <c16:uniqueId val="{00000004-34AE-4F0D-98D6-414D425C2DFB}"/>
            </c:ext>
          </c:extLst>
        </c:ser>
        <c:ser>
          <c:idx val="5"/>
          <c:order val="5"/>
          <c:tx>
            <c:strRef>
              <c:f>'Profit and Loss'!$A$11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Loss'!$B$11:$H$11</c:f>
              <c:numCache>
                <c:formatCode>_-[$$-1009]* #,##0.00_-;\-[$$-1009]* #,##0.00_-;_-[$$-1009]* "-"??_-;_-@_-</c:formatCode>
                <c:ptCount val="7"/>
                <c:pt idx="0">
                  <c:v>457954.61</c:v>
                </c:pt>
                <c:pt idx="1">
                  <c:v>469346.64000000007</c:v>
                </c:pt>
                <c:pt idx="2">
                  <c:v>637186.15</c:v>
                </c:pt>
                <c:pt idx="3">
                  <c:v>587109.66</c:v>
                </c:pt>
                <c:pt idx="4">
                  <c:v>537182.6399999999</c:v>
                </c:pt>
                <c:pt idx="5">
                  <c:v>361540.24999999994</c:v>
                </c:pt>
                <c:pt idx="6">
                  <c:v>377453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AE-4F0D-98D6-414D425C2DFB}"/>
            </c:ext>
          </c:extLst>
        </c:ser>
        <c:ser>
          <c:idx val="6"/>
          <c:order val="6"/>
          <c:tx>
            <c:strRef>
              <c:f>'Profit and Loss'!$A$12</c:f>
              <c:strCache>
                <c:ptCount val="1"/>
                <c:pt idx="0">
                  <c:v>   COST OF GOODS SOLD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Loss'!$B$12:$H$12</c:f>
            </c:numRef>
          </c:val>
          <c:extLst>
            <c:ext xmlns:c16="http://schemas.microsoft.com/office/drawing/2014/chart" uri="{C3380CC4-5D6E-409C-BE32-E72D297353CC}">
              <c16:uniqueId val="{00000006-34AE-4F0D-98D6-414D425C2DFB}"/>
            </c:ext>
          </c:extLst>
        </c:ser>
        <c:ser>
          <c:idx val="7"/>
          <c:order val="7"/>
          <c:tx>
            <c:strRef>
              <c:f>'Profit and Loss'!$A$13</c:f>
              <c:strCache>
                <c:ptCount val="1"/>
                <c:pt idx="0">
                  <c:v>      5010 Direct Contract Services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Loss'!$B$13:$H$13</c:f>
            </c:numRef>
          </c:val>
          <c:extLst>
            <c:ext xmlns:c16="http://schemas.microsoft.com/office/drawing/2014/chart" uri="{C3380CC4-5D6E-409C-BE32-E72D297353CC}">
              <c16:uniqueId val="{00000007-34AE-4F0D-98D6-414D425C2DFB}"/>
            </c:ext>
          </c:extLst>
        </c:ser>
        <c:ser>
          <c:idx val="8"/>
          <c:order val="8"/>
          <c:tx>
            <c:strRef>
              <c:f>'Profit and Loss'!$A$14</c:f>
              <c:strCache>
                <c:ptCount val="1"/>
                <c:pt idx="0">
                  <c:v>      5022 Distributor Commissions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Loss'!$B$14:$H$14</c:f>
            </c:numRef>
          </c:val>
          <c:extLst>
            <c:ext xmlns:c16="http://schemas.microsoft.com/office/drawing/2014/chart" uri="{C3380CC4-5D6E-409C-BE32-E72D297353CC}">
              <c16:uniqueId val="{00000008-34AE-4F0D-98D6-414D425C2DFB}"/>
            </c:ext>
          </c:extLst>
        </c:ser>
        <c:ser>
          <c:idx val="9"/>
          <c:order val="9"/>
          <c:tx>
            <c:strRef>
              <c:f>'Profit and Loss'!$A$15</c:f>
              <c:strCache>
                <c:ptCount val="1"/>
                <c:pt idx="0">
                  <c:v>      Inventory Shrinkage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Loss'!$B$15:$H$15</c:f>
            </c:numRef>
          </c:val>
          <c:extLst>
            <c:ext xmlns:c16="http://schemas.microsoft.com/office/drawing/2014/chart" uri="{C3380CC4-5D6E-409C-BE32-E72D297353CC}">
              <c16:uniqueId val="{00000009-34AE-4F0D-98D6-414D425C2DFB}"/>
            </c:ext>
          </c:extLst>
        </c:ser>
        <c:ser>
          <c:idx val="10"/>
          <c:order val="10"/>
          <c:tx>
            <c:strRef>
              <c:f>'Profit and Loss'!$A$16</c:f>
              <c:strCache>
                <c:ptCount val="1"/>
                <c:pt idx="0">
                  <c:v>      License Fees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Loss'!$B$16:$H$16</c:f>
            </c:numRef>
          </c:val>
          <c:extLst>
            <c:ext xmlns:c16="http://schemas.microsoft.com/office/drawing/2014/chart" uri="{C3380CC4-5D6E-409C-BE32-E72D297353CC}">
              <c16:uniqueId val="{0000000A-34AE-4F0D-98D6-414D425C2DFB}"/>
            </c:ext>
          </c:extLst>
        </c:ser>
        <c:ser>
          <c:idx val="11"/>
          <c:order val="11"/>
          <c:tx>
            <c:strRef>
              <c:f>'Profit and Loss'!$A$17</c:f>
              <c:strCache>
                <c:ptCount val="1"/>
                <c:pt idx="0">
                  <c:v>Total Cost of Goods Sold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Loss'!$B$17:$H$17</c:f>
              <c:numCache>
                <c:formatCode>_-[$$-1009]* #,##0.00_-;\-[$$-1009]* #,##0.00_-;_-[$$-1009]* "-"??_-;_-@_-</c:formatCode>
                <c:ptCount val="7"/>
                <c:pt idx="0">
                  <c:v>38152.550000000003</c:v>
                </c:pt>
                <c:pt idx="1">
                  <c:v>76093.509999999995</c:v>
                </c:pt>
                <c:pt idx="2">
                  <c:v>42566.51</c:v>
                </c:pt>
                <c:pt idx="3">
                  <c:v>49828.729999999996</c:v>
                </c:pt>
                <c:pt idx="4">
                  <c:v>42597.869999999995</c:v>
                </c:pt>
                <c:pt idx="5">
                  <c:v>26408.440000000002</c:v>
                </c:pt>
                <c:pt idx="6">
                  <c:v>30276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4AE-4F0D-98D6-414D425C2DFB}"/>
            </c:ext>
          </c:extLst>
        </c:ser>
        <c:ser>
          <c:idx val="12"/>
          <c:order val="12"/>
          <c:tx>
            <c:strRef>
              <c:f>'Profit and Loss'!$A$18</c:f>
              <c:strCache>
                <c:ptCount val="1"/>
                <c:pt idx="0">
                  <c:v>GROSS PROFIT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Loss'!$B$18:$H$18</c:f>
            </c:numRef>
          </c:val>
          <c:extLst>
            <c:ext xmlns:c16="http://schemas.microsoft.com/office/drawing/2014/chart" uri="{C3380CC4-5D6E-409C-BE32-E72D297353CC}">
              <c16:uniqueId val="{0000000C-34AE-4F0D-98D6-414D425C2DFB}"/>
            </c:ext>
          </c:extLst>
        </c:ser>
        <c:ser>
          <c:idx val="13"/>
          <c:order val="13"/>
          <c:tx>
            <c:strRef>
              <c:f>'Profit and Loss'!$A$19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Loss'!$B$19:$H$19</c:f>
            </c:numRef>
          </c:val>
          <c:extLst>
            <c:ext xmlns:c16="http://schemas.microsoft.com/office/drawing/2014/chart" uri="{C3380CC4-5D6E-409C-BE32-E72D297353CC}">
              <c16:uniqueId val="{0000000D-34AE-4F0D-98D6-414D425C2DFB}"/>
            </c:ext>
          </c:extLst>
        </c:ser>
        <c:ser>
          <c:idx val="14"/>
          <c:order val="14"/>
          <c:tx>
            <c:strRef>
              <c:f>'Profit and Loss'!$A$20</c:f>
              <c:strCache>
                <c:ptCount val="1"/>
                <c:pt idx="0">
                  <c:v>   5110 Bank Charges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Loss'!$B$20:$H$20</c:f>
            </c:numRef>
          </c:val>
          <c:extLst>
            <c:ext xmlns:c16="http://schemas.microsoft.com/office/drawing/2014/chart" uri="{C3380CC4-5D6E-409C-BE32-E72D297353CC}">
              <c16:uniqueId val="{0000000E-34AE-4F0D-98D6-414D425C2DFB}"/>
            </c:ext>
          </c:extLst>
        </c:ser>
        <c:ser>
          <c:idx val="15"/>
          <c:order val="15"/>
          <c:tx>
            <c:strRef>
              <c:f>'Profit and Loss'!$A$21</c:f>
              <c:strCache>
                <c:ptCount val="1"/>
                <c:pt idx="0">
                  <c:v>   5160 Dues, Subscriptions &amp; Memb.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Loss'!$B$21:$H$21</c:f>
            </c:numRef>
          </c:val>
          <c:extLst>
            <c:ext xmlns:c16="http://schemas.microsoft.com/office/drawing/2014/chart" uri="{C3380CC4-5D6E-409C-BE32-E72D297353CC}">
              <c16:uniqueId val="{0000000F-34AE-4F0D-98D6-414D425C2DFB}"/>
            </c:ext>
          </c:extLst>
        </c:ser>
        <c:ser>
          <c:idx val="16"/>
          <c:order val="16"/>
          <c:tx>
            <c:strRef>
              <c:f>'Profit and Loss'!$A$22</c:f>
              <c:strCache>
                <c:ptCount val="1"/>
                <c:pt idx="0">
                  <c:v>   5170 Insurance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Loss'!$B$22:$H$22</c:f>
            </c:numRef>
          </c:val>
          <c:extLst>
            <c:ext xmlns:c16="http://schemas.microsoft.com/office/drawing/2014/chart" uri="{C3380CC4-5D6E-409C-BE32-E72D297353CC}">
              <c16:uniqueId val="{00000010-34AE-4F0D-98D6-414D425C2DFB}"/>
            </c:ext>
          </c:extLst>
        </c:ser>
        <c:ser>
          <c:idx val="17"/>
          <c:order val="17"/>
          <c:tx>
            <c:strRef>
              <c:f>'Profit and Loss'!$A$23</c:f>
              <c:strCache>
                <c:ptCount val="1"/>
                <c:pt idx="0">
                  <c:v>   5190 R&amp;D Lab Materials &amp; Services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Loss'!$B$23:$H$23</c:f>
            </c:numRef>
          </c:val>
          <c:extLst>
            <c:ext xmlns:c16="http://schemas.microsoft.com/office/drawing/2014/chart" uri="{C3380CC4-5D6E-409C-BE32-E72D297353CC}">
              <c16:uniqueId val="{00000011-34AE-4F0D-98D6-414D425C2DFB}"/>
            </c:ext>
          </c:extLst>
        </c:ser>
        <c:ser>
          <c:idx val="18"/>
          <c:order val="18"/>
          <c:tx>
            <c:strRef>
              <c:f>'Profit and Loss'!$A$24</c:f>
              <c:strCache>
                <c:ptCount val="1"/>
                <c:pt idx="0">
                  <c:v>   5460 Rent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Loss'!$B$24:$H$24</c:f>
            </c:numRef>
          </c:val>
          <c:extLst>
            <c:ext xmlns:c16="http://schemas.microsoft.com/office/drawing/2014/chart" uri="{C3380CC4-5D6E-409C-BE32-E72D297353CC}">
              <c16:uniqueId val="{00000012-34AE-4F0D-98D6-414D425C2DFB}"/>
            </c:ext>
          </c:extLst>
        </c:ser>
        <c:ser>
          <c:idx val="19"/>
          <c:order val="19"/>
          <c:tx>
            <c:strRef>
              <c:f>'Profit and Loss'!$A$25</c:f>
              <c:strCache>
                <c:ptCount val="1"/>
                <c:pt idx="0">
                  <c:v>   5465 Salaries &amp; Wages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Loss'!$B$25:$H$25</c:f>
            </c:numRef>
          </c:val>
          <c:extLst>
            <c:ext xmlns:c16="http://schemas.microsoft.com/office/drawing/2014/chart" uri="{C3380CC4-5D6E-409C-BE32-E72D297353CC}">
              <c16:uniqueId val="{00000013-34AE-4F0D-98D6-414D425C2DFB}"/>
            </c:ext>
          </c:extLst>
        </c:ser>
        <c:ser>
          <c:idx val="20"/>
          <c:order val="20"/>
          <c:tx>
            <c:strRef>
              <c:f>'Profit and Loss'!$A$26</c:f>
              <c:strCache>
                <c:ptCount val="1"/>
                <c:pt idx="0">
                  <c:v>   5508 Scientific Advisors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Loss'!$B$26:$H$26</c:f>
            </c:numRef>
          </c:val>
          <c:extLst>
            <c:ext xmlns:c16="http://schemas.microsoft.com/office/drawing/2014/chart" uri="{C3380CC4-5D6E-409C-BE32-E72D297353CC}">
              <c16:uniqueId val="{00000014-34AE-4F0D-98D6-414D425C2DFB}"/>
            </c:ext>
          </c:extLst>
        </c:ser>
        <c:ser>
          <c:idx val="21"/>
          <c:order val="21"/>
          <c:tx>
            <c:strRef>
              <c:f>'Profit and Loss'!$A$27</c:f>
              <c:strCache>
                <c:ptCount val="1"/>
                <c:pt idx="0">
                  <c:v>   5509 Subcontractor IT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Loss'!$B$27:$H$27</c:f>
            </c:numRef>
          </c:val>
          <c:extLst>
            <c:ext xmlns:c16="http://schemas.microsoft.com/office/drawing/2014/chart" uri="{C3380CC4-5D6E-409C-BE32-E72D297353CC}">
              <c16:uniqueId val="{00000015-34AE-4F0D-98D6-414D425C2DFB}"/>
            </c:ext>
          </c:extLst>
        </c:ser>
        <c:ser>
          <c:idx val="22"/>
          <c:order val="22"/>
          <c:tx>
            <c:strRef>
              <c:f>'Profit and Loss'!$A$28</c:f>
              <c:strCache>
                <c:ptCount val="1"/>
                <c:pt idx="0">
                  <c:v>   5510 Telephone &amp; Communications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Loss'!$B$28:$H$28</c:f>
            </c:numRef>
          </c:val>
          <c:extLst>
            <c:ext xmlns:c16="http://schemas.microsoft.com/office/drawing/2014/chart" uri="{C3380CC4-5D6E-409C-BE32-E72D297353CC}">
              <c16:uniqueId val="{00000016-34AE-4F0D-98D6-414D425C2DFB}"/>
            </c:ext>
          </c:extLst>
        </c:ser>
        <c:ser>
          <c:idx val="23"/>
          <c:order val="23"/>
          <c:tx>
            <c:strRef>
              <c:f>'Profit and Loss'!$A$29</c:f>
              <c:strCache>
                <c:ptCount val="1"/>
                <c:pt idx="0">
                  <c:v>   66900 Reconciliation Discrepancies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Loss'!$B$29:$H$29</c:f>
            </c:numRef>
          </c:val>
          <c:extLst>
            <c:ext xmlns:c16="http://schemas.microsoft.com/office/drawing/2014/chart" uri="{C3380CC4-5D6E-409C-BE32-E72D297353CC}">
              <c16:uniqueId val="{00000017-34AE-4F0D-98D6-414D425C2DFB}"/>
            </c:ext>
          </c:extLst>
        </c:ser>
        <c:ser>
          <c:idx val="24"/>
          <c:order val="24"/>
          <c:tx>
            <c:strRef>
              <c:f>'Profit and Loss'!$A$30</c:f>
              <c:strCache>
                <c:ptCount val="1"/>
                <c:pt idx="0">
                  <c:v>   Legal &amp; Audit Fees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Loss'!$B$30:$H$30</c:f>
            </c:numRef>
          </c:val>
          <c:extLst>
            <c:ext xmlns:c16="http://schemas.microsoft.com/office/drawing/2014/chart" uri="{C3380CC4-5D6E-409C-BE32-E72D297353CC}">
              <c16:uniqueId val="{00000018-34AE-4F0D-98D6-414D425C2DFB}"/>
            </c:ext>
          </c:extLst>
        </c:ser>
        <c:ser>
          <c:idx val="25"/>
          <c:order val="25"/>
          <c:tx>
            <c:strRef>
              <c:f>'Profit and Loss'!$A$31</c:f>
              <c:strCache>
                <c:ptCount val="1"/>
                <c:pt idx="0">
                  <c:v>   Marketing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Loss'!$B$31:$H$31</c:f>
            </c:numRef>
          </c:val>
          <c:extLst>
            <c:ext xmlns:c16="http://schemas.microsoft.com/office/drawing/2014/chart" uri="{C3380CC4-5D6E-409C-BE32-E72D297353CC}">
              <c16:uniqueId val="{00000019-34AE-4F0D-98D6-414D425C2DFB}"/>
            </c:ext>
          </c:extLst>
        </c:ser>
        <c:ser>
          <c:idx val="26"/>
          <c:order val="26"/>
          <c:tx>
            <c:strRef>
              <c:f>'Profit and Loss'!$A$32</c:f>
              <c:strCache>
                <c:ptCount val="1"/>
                <c:pt idx="0">
                  <c:v>   Office Expenses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Loss'!$B$32:$H$32</c:f>
            </c:numRef>
          </c:val>
          <c:extLst>
            <c:ext xmlns:c16="http://schemas.microsoft.com/office/drawing/2014/chart" uri="{C3380CC4-5D6E-409C-BE32-E72D297353CC}">
              <c16:uniqueId val="{0000001A-34AE-4F0D-98D6-414D425C2DFB}"/>
            </c:ext>
          </c:extLst>
        </c:ser>
        <c:ser>
          <c:idx val="27"/>
          <c:order val="27"/>
          <c:tx>
            <c:strRef>
              <c:f>'Profit and Loss'!$A$33</c:f>
              <c:strCache>
                <c:ptCount val="1"/>
                <c:pt idx="0">
                  <c:v>   Payroll Expenses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Loss'!$B$33:$H$33</c:f>
            </c:numRef>
          </c:val>
          <c:extLst>
            <c:ext xmlns:c16="http://schemas.microsoft.com/office/drawing/2014/chart" uri="{C3380CC4-5D6E-409C-BE32-E72D297353CC}">
              <c16:uniqueId val="{0000001B-34AE-4F0D-98D6-414D425C2DFB}"/>
            </c:ext>
          </c:extLst>
        </c:ser>
        <c:ser>
          <c:idx val="28"/>
          <c:order val="28"/>
          <c:tx>
            <c:strRef>
              <c:f>'Profit and Loss'!$A$34</c:f>
              <c:strCache>
                <c:ptCount val="1"/>
                <c:pt idx="0">
                  <c:v>Total Expenses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Loss'!$B$34:$H$34</c:f>
              <c:numCache>
                <c:formatCode>_-[$$-1009]* #,##0.00_-;\-[$$-1009]* #,##0.00_-;_-[$$-1009]* "-"??_-;_-@_-</c:formatCode>
                <c:ptCount val="7"/>
                <c:pt idx="0">
                  <c:v>277547.18</c:v>
                </c:pt>
                <c:pt idx="1">
                  <c:v>350030.87</c:v>
                </c:pt>
                <c:pt idx="2">
                  <c:v>316677.38</c:v>
                </c:pt>
                <c:pt idx="3">
                  <c:v>283539.62</c:v>
                </c:pt>
                <c:pt idx="4">
                  <c:v>281342.12</c:v>
                </c:pt>
                <c:pt idx="5">
                  <c:v>295089.02</c:v>
                </c:pt>
                <c:pt idx="6">
                  <c:v>210922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4AE-4F0D-98D6-414D425C2DFB}"/>
            </c:ext>
          </c:extLst>
        </c:ser>
        <c:ser>
          <c:idx val="29"/>
          <c:order val="29"/>
          <c:tx>
            <c:strRef>
              <c:f>'Profit and Loss'!$A$35</c:f>
              <c:strCache>
                <c:ptCount val="1"/>
                <c:pt idx="0">
                  <c:v>OTHER INCOME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Loss'!$B$35:$H$35</c:f>
            </c:numRef>
          </c:val>
          <c:extLst>
            <c:ext xmlns:c16="http://schemas.microsoft.com/office/drawing/2014/chart" uri="{C3380CC4-5D6E-409C-BE32-E72D297353CC}">
              <c16:uniqueId val="{0000001D-34AE-4F0D-98D6-414D425C2DFB}"/>
            </c:ext>
          </c:extLst>
        </c:ser>
        <c:ser>
          <c:idx val="30"/>
          <c:order val="30"/>
          <c:tx>
            <c:strRef>
              <c:f>'Profit and Loss'!$A$36</c:f>
              <c:strCache>
                <c:ptCount val="1"/>
                <c:pt idx="0">
                  <c:v>   5549 Other Income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Loss'!$B$36:$H$36</c:f>
            </c:numRef>
          </c:val>
          <c:extLst>
            <c:ext xmlns:c16="http://schemas.microsoft.com/office/drawing/2014/chart" uri="{C3380CC4-5D6E-409C-BE32-E72D297353CC}">
              <c16:uniqueId val="{0000001E-34AE-4F0D-98D6-414D425C2DFB}"/>
            </c:ext>
          </c:extLst>
        </c:ser>
        <c:ser>
          <c:idx val="31"/>
          <c:order val="31"/>
          <c:tx>
            <c:strRef>
              <c:f>'Profit and Loss'!$A$37</c:f>
              <c:strCache>
                <c:ptCount val="1"/>
                <c:pt idx="0">
                  <c:v>   5550 Interest Income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Loss'!$B$37:$H$37</c:f>
            </c:numRef>
          </c:val>
          <c:extLst>
            <c:ext xmlns:c16="http://schemas.microsoft.com/office/drawing/2014/chart" uri="{C3380CC4-5D6E-409C-BE32-E72D297353CC}">
              <c16:uniqueId val="{0000001F-34AE-4F0D-98D6-414D425C2DFB}"/>
            </c:ext>
          </c:extLst>
        </c:ser>
        <c:ser>
          <c:idx val="32"/>
          <c:order val="32"/>
          <c:tx>
            <c:strRef>
              <c:f>'Profit and Loss'!$A$38</c:f>
              <c:strCache>
                <c:ptCount val="1"/>
                <c:pt idx="0">
                  <c:v>Total Other Income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Loss'!$B$38:$H$38</c:f>
              <c:numCache>
                <c:formatCode>_-[$$-1009]* #,##0.00_-;\-[$$-1009]* #,##0.00_-;_-[$$-1009]* "-"??_-;_-@_-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10712.31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4AE-4F0D-98D6-414D425C2DFB}"/>
            </c:ext>
          </c:extLst>
        </c:ser>
        <c:ser>
          <c:idx val="33"/>
          <c:order val="33"/>
          <c:tx>
            <c:strRef>
              <c:f>'Profit and Loss'!$A$39</c:f>
              <c:strCache>
                <c:ptCount val="1"/>
                <c:pt idx="0">
                  <c:v>OTHER EXPENSES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Loss'!$B$39:$H$39</c:f>
            </c:numRef>
          </c:val>
          <c:extLst>
            <c:ext xmlns:c16="http://schemas.microsoft.com/office/drawing/2014/chart" uri="{C3380CC4-5D6E-409C-BE32-E72D297353CC}">
              <c16:uniqueId val="{00000021-34AE-4F0D-98D6-414D425C2DFB}"/>
            </c:ext>
          </c:extLst>
        </c:ser>
        <c:ser>
          <c:idx val="34"/>
          <c:order val="34"/>
          <c:tx>
            <c:strRef>
              <c:f>'Profit and Loss'!$A$40</c:f>
              <c:strCache>
                <c:ptCount val="1"/>
                <c:pt idx="0">
                  <c:v>   Unrealized Gain or Loss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Loss'!$B$40:$H$40</c:f>
            </c:numRef>
          </c:val>
          <c:extLst>
            <c:ext xmlns:c16="http://schemas.microsoft.com/office/drawing/2014/chart" uri="{C3380CC4-5D6E-409C-BE32-E72D297353CC}">
              <c16:uniqueId val="{00000022-34AE-4F0D-98D6-414D425C2DFB}"/>
            </c:ext>
          </c:extLst>
        </c:ser>
        <c:ser>
          <c:idx val="35"/>
          <c:order val="35"/>
          <c:tx>
            <c:strRef>
              <c:f>'Profit and Loss'!$A$41</c:f>
              <c:strCache>
                <c:ptCount val="1"/>
                <c:pt idx="0">
                  <c:v>   5570 Amortization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Loss'!$B$41:$H$41</c:f>
            </c:numRef>
          </c:val>
          <c:extLst>
            <c:ext xmlns:c16="http://schemas.microsoft.com/office/drawing/2014/chart" uri="{C3380CC4-5D6E-409C-BE32-E72D297353CC}">
              <c16:uniqueId val="{00000023-34AE-4F0D-98D6-414D425C2DFB}"/>
            </c:ext>
          </c:extLst>
        </c:ser>
        <c:ser>
          <c:idx val="36"/>
          <c:order val="36"/>
          <c:tx>
            <c:strRef>
              <c:f>'Profit and Loss'!$A$42</c:f>
              <c:strCache>
                <c:ptCount val="1"/>
                <c:pt idx="0">
                  <c:v>   5585 Impairment Loss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Loss'!$B$42:$H$42</c:f>
            </c:numRef>
          </c:val>
          <c:extLst>
            <c:ext xmlns:c16="http://schemas.microsoft.com/office/drawing/2014/chart" uri="{C3380CC4-5D6E-409C-BE32-E72D297353CC}">
              <c16:uniqueId val="{00000024-34AE-4F0D-98D6-414D425C2DFB}"/>
            </c:ext>
          </c:extLst>
        </c:ser>
        <c:ser>
          <c:idx val="37"/>
          <c:order val="37"/>
          <c:tx>
            <c:strRef>
              <c:f>'Profit and Loss'!$A$43</c:f>
              <c:strCache>
                <c:ptCount val="1"/>
                <c:pt idx="0">
                  <c:v>   5590 Loss (Gain) on Exchange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Loss'!$B$43:$H$43</c:f>
            </c:numRef>
          </c:val>
          <c:extLst>
            <c:ext xmlns:c16="http://schemas.microsoft.com/office/drawing/2014/chart" uri="{C3380CC4-5D6E-409C-BE32-E72D297353CC}">
              <c16:uniqueId val="{00000025-34AE-4F0D-98D6-414D425C2DFB}"/>
            </c:ext>
          </c:extLst>
        </c:ser>
        <c:ser>
          <c:idx val="38"/>
          <c:order val="38"/>
          <c:tx>
            <c:strRef>
              <c:f>'Profit and Loss'!$A$44</c:f>
              <c:strCache>
                <c:ptCount val="1"/>
                <c:pt idx="0">
                  <c:v>   Reconciliation Discrepancies-1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Loss'!$B$44:$H$44</c:f>
            </c:numRef>
          </c:val>
          <c:extLst>
            <c:ext xmlns:c16="http://schemas.microsoft.com/office/drawing/2014/chart" uri="{C3380CC4-5D6E-409C-BE32-E72D297353CC}">
              <c16:uniqueId val="{00000026-34AE-4F0D-98D6-414D425C2DFB}"/>
            </c:ext>
          </c:extLst>
        </c:ser>
        <c:ser>
          <c:idx val="39"/>
          <c:order val="39"/>
          <c:tx>
            <c:strRef>
              <c:f>'Profit and Loss'!$A$45</c:f>
              <c:strCache>
                <c:ptCount val="1"/>
                <c:pt idx="0">
                  <c:v>Total Other Expenses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Loss'!$B$45:$H$45</c:f>
              <c:numCache>
                <c:formatCode>_-[$$-1009]* #,##0.00_-;\-[$$-1009]* #,##0.00_-;_-[$$-1009]* "-"??_-;_-@_-</c:formatCode>
                <c:ptCount val="7"/>
                <c:pt idx="0">
                  <c:v>16442.12</c:v>
                </c:pt>
                <c:pt idx="1">
                  <c:v>11862.67</c:v>
                </c:pt>
                <c:pt idx="2">
                  <c:v>30495.45</c:v>
                </c:pt>
                <c:pt idx="3">
                  <c:v>16626.2</c:v>
                </c:pt>
                <c:pt idx="4">
                  <c:v>43804.960000000006</c:v>
                </c:pt>
                <c:pt idx="5">
                  <c:v>2223.4</c:v>
                </c:pt>
                <c:pt idx="6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34AE-4F0D-98D6-414D425C2DFB}"/>
            </c:ext>
          </c:extLst>
        </c:ser>
        <c:ser>
          <c:idx val="40"/>
          <c:order val="40"/>
          <c:tx>
            <c:strRef>
              <c:f>'Profit and Loss'!$A$46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'Profit and Loss'!$B$5:$H$5</c:f>
              <c:strCache>
                <c:ptCount val="7"/>
                <c:pt idx="0">
                  <c:v>Jan - Dec. 2017</c:v>
                </c:pt>
                <c:pt idx="1">
                  <c:v>Jan - Dec. 2018</c:v>
                </c:pt>
                <c:pt idx="2">
                  <c:v>Jan - Dec. 2019</c:v>
                </c:pt>
                <c:pt idx="3">
                  <c:v>Jan - Dec. 2020</c:v>
                </c:pt>
                <c:pt idx="4">
                  <c:v>Jan - Dec. 2021</c:v>
                </c:pt>
                <c:pt idx="5">
                  <c:v>Jan - Dec. 2022</c:v>
                </c:pt>
                <c:pt idx="6">
                  <c:v>Jan - Aug., 2023</c:v>
                </c:pt>
              </c:strCache>
            </c:strRef>
          </c:cat>
          <c:val>
            <c:numRef>
              <c:f>'Profit and Loss'!$B$46:$H$46</c:f>
              <c:numCache>
                <c:formatCode>_-[$$-1009]* #,##0.00_-;\-[$$-1009]* #,##0.00_-;_-[$$-1009]* "-"??_-;_-@_-</c:formatCode>
                <c:ptCount val="7"/>
                <c:pt idx="0">
                  <c:v>125812.76000000001</c:v>
                </c:pt>
                <c:pt idx="1">
                  <c:v>31359.590000000069</c:v>
                </c:pt>
                <c:pt idx="2">
                  <c:v>247446.81</c:v>
                </c:pt>
                <c:pt idx="3">
                  <c:v>247827.42000000004</c:v>
                </c:pt>
                <c:pt idx="4">
                  <c:v>169437.68999999989</c:v>
                </c:pt>
                <c:pt idx="5">
                  <c:v>37819.389999999919</c:v>
                </c:pt>
                <c:pt idx="6">
                  <c:v>135155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34AE-4F0D-98D6-414D425C2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344447"/>
        <c:axId val="897216511"/>
      </c:barChart>
      <c:catAx>
        <c:axId val="397344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216511"/>
        <c:crosses val="autoZero"/>
        <c:auto val="1"/>
        <c:lblAlgn val="ctr"/>
        <c:lblOffset val="100"/>
        <c:noMultiLvlLbl val="0"/>
      </c:catAx>
      <c:valAx>
        <c:axId val="897216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1009]* #,##0.00_-;\-[$$-1009]* #,##0.00_-;_-[$$-1009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344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18495</xdr:colOff>
      <xdr:row>47</xdr:row>
      <xdr:rowOff>36990</xdr:rowOff>
    </xdr:from>
    <xdr:to>
      <xdr:col>9</xdr:col>
      <xdr:colOff>69356</xdr:colOff>
      <xdr:row>64</xdr:row>
      <xdr:rowOff>179915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3A3CC2-DA53-21EA-7C88-0B6D4F2603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topLeftCell="A3" zoomScale="206" zoomScaleNormal="206" workbookViewId="0">
      <selection activeCell="A38" sqref="A38"/>
    </sheetView>
  </sheetViews>
  <sheetFormatPr defaultRowHeight="15" x14ac:dyDescent="0.25"/>
  <cols>
    <col min="1" max="1" width="26" customWidth="1"/>
    <col min="2" max="9" width="10.7109375" customWidth="1"/>
    <col min="10" max="10" width="13.140625" customWidth="1"/>
  </cols>
  <sheetData>
    <row r="1" spans="1:9" ht="18" x14ac:dyDescent="0.25">
      <c r="A1" s="17" t="s">
        <v>44</v>
      </c>
      <c r="B1" s="17"/>
      <c r="C1" s="17"/>
      <c r="D1" s="17"/>
      <c r="E1" s="17"/>
      <c r="F1" s="17"/>
      <c r="G1" s="17"/>
      <c r="H1" s="17"/>
      <c r="I1" s="17"/>
    </row>
    <row r="2" spans="1:9" ht="18" x14ac:dyDescent="0.25">
      <c r="A2" s="17" t="s">
        <v>45</v>
      </c>
      <c r="B2" s="17"/>
      <c r="C2" s="17"/>
      <c r="D2" s="17"/>
      <c r="E2" s="17"/>
      <c r="F2" s="17"/>
      <c r="G2" s="17"/>
      <c r="H2" s="17"/>
      <c r="I2" s="17"/>
    </row>
    <row r="3" spans="1:9" x14ac:dyDescent="0.25">
      <c r="A3" s="18" t="s">
        <v>76</v>
      </c>
      <c r="B3" s="19"/>
      <c r="C3" s="19"/>
      <c r="D3" s="19"/>
      <c r="E3" s="19"/>
      <c r="F3" s="19"/>
      <c r="G3" s="19"/>
      <c r="H3" s="19"/>
      <c r="I3" s="19"/>
    </row>
    <row r="5" spans="1:9" ht="34.5" x14ac:dyDescent="0.25">
      <c r="A5" s="1"/>
      <c r="B5" s="11" t="s">
        <v>64</v>
      </c>
      <c r="C5" s="11" t="s">
        <v>0</v>
      </c>
      <c r="D5" s="11" t="s">
        <v>1</v>
      </c>
      <c r="E5" s="11" t="s">
        <v>2</v>
      </c>
      <c r="F5" s="11" t="s">
        <v>3</v>
      </c>
      <c r="G5" s="11" t="s">
        <v>4</v>
      </c>
      <c r="H5" s="20" t="s">
        <v>79</v>
      </c>
      <c r="I5" s="11" t="s">
        <v>48</v>
      </c>
    </row>
    <row r="6" spans="1:9" hidden="1" x14ac:dyDescent="0.25">
      <c r="A6" s="2" t="s">
        <v>5</v>
      </c>
      <c r="B6" s="3"/>
      <c r="C6" s="3"/>
      <c r="D6" s="3"/>
      <c r="E6" s="3"/>
      <c r="F6" s="3"/>
      <c r="G6" s="3"/>
      <c r="H6" s="3"/>
    </row>
    <row r="7" spans="1:9" hidden="1" x14ac:dyDescent="0.25">
      <c r="A7" s="2" t="s">
        <v>6</v>
      </c>
      <c r="B7" s="4">
        <f>184092.07</f>
        <v>184092.07</v>
      </c>
      <c r="C7" s="4">
        <f>184092.07</f>
        <v>184092.07</v>
      </c>
      <c r="D7" s="4">
        <f>111136.04</f>
        <v>111136.04</v>
      </c>
      <c r="E7" s="4">
        <f>48582.46</f>
        <v>48582.46</v>
      </c>
      <c r="F7" s="4">
        <f>21914</f>
        <v>21914</v>
      </c>
      <c r="G7" s="4">
        <f>18388.63</f>
        <v>18388.63</v>
      </c>
      <c r="H7" s="4">
        <f>3387.87</f>
        <v>3387.87</v>
      </c>
    </row>
    <row r="8" spans="1:9" hidden="1" x14ac:dyDescent="0.25">
      <c r="A8" s="2" t="s">
        <v>7</v>
      </c>
      <c r="B8" s="4">
        <f>142700.47</f>
        <v>142700.47</v>
      </c>
      <c r="C8" s="4">
        <f>142700.47</f>
        <v>142700.47</v>
      </c>
      <c r="D8" s="4">
        <f>336124.61</f>
        <v>336124.61</v>
      </c>
      <c r="E8" s="4">
        <f>311264.47</f>
        <v>311264.46999999997</v>
      </c>
      <c r="F8" s="4">
        <f>328382.1</f>
        <v>328382.09999999998</v>
      </c>
      <c r="G8" s="4">
        <f>161642.09</f>
        <v>161642.09</v>
      </c>
      <c r="H8" s="4">
        <f>218485.78</f>
        <v>218485.78</v>
      </c>
    </row>
    <row r="9" spans="1:9" hidden="1" x14ac:dyDescent="0.25">
      <c r="A9" s="2" t="s">
        <v>8</v>
      </c>
      <c r="B9" s="4">
        <f>124287.39</f>
        <v>124287.39</v>
      </c>
      <c r="C9" s="4">
        <f>124287.39</f>
        <v>124287.39</v>
      </c>
      <c r="D9" s="4">
        <f>162814.39</f>
        <v>162814.39000000001</v>
      </c>
      <c r="E9" s="4">
        <f>211535.39</f>
        <v>211535.39</v>
      </c>
      <c r="F9" s="4">
        <f>180416.81</f>
        <v>180416.81</v>
      </c>
      <c r="G9" s="4">
        <f>175097.11</f>
        <v>175097.11</v>
      </c>
      <c r="H9" s="4">
        <f>110585.15</f>
        <v>110585.15</v>
      </c>
    </row>
    <row r="10" spans="1:9" ht="23.25" hidden="1" x14ac:dyDescent="0.25">
      <c r="A10" s="2" t="s">
        <v>9</v>
      </c>
      <c r="B10" s="4">
        <f>18266.71</f>
        <v>18266.71</v>
      </c>
      <c r="C10" s="4">
        <f>18266.71</f>
        <v>18266.71</v>
      </c>
      <c r="D10" s="4">
        <f>27111.11</f>
        <v>27111.11</v>
      </c>
      <c r="E10" s="4">
        <f>15727.34</f>
        <v>15727.34</v>
      </c>
      <c r="F10" s="4">
        <f>6469.73</f>
        <v>6469.73</v>
      </c>
      <c r="G10" s="4">
        <f>6412.42</f>
        <v>6412.42</v>
      </c>
      <c r="H10" s="4">
        <f>6412.42</f>
        <v>6412.42</v>
      </c>
    </row>
    <row r="11" spans="1:9" x14ac:dyDescent="0.25">
      <c r="A11" s="5" t="s">
        <v>46</v>
      </c>
      <c r="B11" s="6">
        <v>457954.61</v>
      </c>
      <c r="C11" s="6">
        <f t="shared" ref="C11:H11" si="0">(((C7)+(C8))+(C9))+(C10)</f>
        <v>469346.64000000007</v>
      </c>
      <c r="D11" s="6">
        <f t="shared" si="0"/>
        <v>637186.15</v>
      </c>
      <c r="E11" s="6">
        <f t="shared" si="0"/>
        <v>587109.66</v>
      </c>
      <c r="F11" s="6">
        <f t="shared" si="0"/>
        <v>537182.6399999999</v>
      </c>
      <c r="G11" s="6">
        <f t="shared" si="0"/>
        <v>361540.24999999994</v>
      </c>
      <c r="H11" s="6">
        <v>377453</v>
      </c>
      <c r="I11" s="8">
        <v>538871.22</v>
      </c>
    </row>
    <row r="12" spans="1:9" hidden="1" x14ac:dyDescent="0.25">
      <c r="A12" s="2" t="s">
        <v>10</v>
      </c>
      <c r="B12" s="6"/>
      <c r="C12" s="6"/>
      <c r="D12" s="6"/>
      <c r="E12" s="6"/>
      <c r="F12" s="6"/>
      <c r="G12" s="6"/>
      <c r="H12" s="6"/>
      <c r="I12" s="9"/>
    </row>
    <row r="13" spans="1:9" ht="23.25" hidden="1" x14ac:dyDescent="0.25">
      <c r="A13" s="2" t="s">
        <v>11</v>
      </c>
      <c r="B13" s="6">
        <f>66968</f>
        <v>66968</v>
      </c>
      <c r="C13" s="6">
        <f>66968</f>
        <v>66968</v>
      </c>
      <c r="D13" s="6">
        <f>25878.52</f>
        <v>25878.52</v>
      </c>
      <c r="E13" s="6">
        <f>31376.89</f>
        <v>31376.89</v>
      </c>
      <c r="F13" s="6">
        <f>15284</f>
        <v>15284</v>
      </c>
      <c r="G13" s="6">
        <f>6254.4</f>
        <v>6254.4</v>
      </c>
      <c r="H13" s="6"/>
      <c r="I13" s="9"/>
    </row>
    <row r="14" spans="1:9" ht="23.25" hidden="1" x14ac:dyDescent="0.25">
      <c r="A14" s="2" t="s">
        <v>12</v>
      </c>
      <c r="B14" s="6">
        <f>9125.51</f>
        <v>9125.51</v>
      </c>
      <c r="C14" s="6">
        <f>9125.51</f>
        <v>9125.51</v>
      </c>
      <c r="D14" s="6">
        <f>16687.99</f>
        <v>16687.990000000002</v>
      </c>
      <c r="E14" s="6">
        <f>19851.84</f>
        <v>19851.84</v>
      </c>
      <c r="F14" s="6">
        <f>27313.87</f>
        <v>27313.87</v>
      </c>
      <c r="G14" s="6">
        <f>20154.04</f>
        <v>20154.04</v>
      </c>
      <c r="H14" s="6">
        <f>20382.14</f>
        <v>20382.14</v>
      </c>
      <c r="I14" s="9"/>
    </row>
    <row r="15" spans="1:9" hidden="1" x14ac:dyDescent="0.25">
      <c r="A15" s="2" t="s">
        <v>13</v>
      </c>
      <c r="B15" s="6"/>
      <c r="C15" s="6"/>
      <c r="D15" s="6"/>
      <c r="E15" s="6">
        <f>-1400</f>
        <v>-1400</v>
      </c>
      <c r="F15" s="6"/>
      <c r="G15" s="6"/>
      <c r="H15" s="6"/>
      <c r="I15" s="9"/>
    </row>
    <row r="16" spans="1:9" hidden="1" x14ac:dyDescent="0.25">
      <c r="A16" s="2" t="s">
        <v>14</v>
      </c>
      <c r="B16" s="6"/>
      <c r="C16" s="6"/>
      <c r="D16" s="6"/>
      <c r="E16" s="6"/>
      <c r="F16" s="6"/>
      <c r="G16" s="6"/>
      <c r="H16" s="6">
        <f>6214.9</f>
        <v>6214.9</v>
      </c>
      <c r="I16" s="9"/>
    </row>
    <row r="17" spans="1:9" x14ac:dyDescent="0.25">
      <c r="A17" s="5" t="s">
        <v>47</v>
      </c>
      <c r="B17" s="6">
        <v>38152.550000000003</v>
      </c>
      <c r="C17" s="6">
        <f t="shared" ref="C17:H17" si="1">(((C13)+(C14))+(C15))+(C16)</f>
        <v>76093.509999999995</v>
      </c>
      <c r="D17" s="6">
        <f t="shared" si="1"/>
        <v>42566.51</v>
      </c>
      <c r="E17" s="6">
        <f t="shared" si="1"/>
        <v>49828.729999999996</v>
      </c>
      <c r="F17" s="6">
        <f t="shared" si="1"/>
        <v>42597.869999999995</v>
      </c>
      <c r="G17" s="6">
        <f t="shared" si="1"/>
        <v>26408.440000000002</v>
      </c>
      <c r="H17" s="6">
        <v>30276</v>
      </c>
      <c r="I17" s="8">
        <v>41597.040000000001</v>
      </c>
    </row>
    <row r="18" spans="1:9" hidden="1" x14ac:dyDescent="0.25">
      <c r="A18" s="2" t="s">
        <v>15</v>
      </c>
      <c r="B18" s="6">
        <f t="shared" ref="B18" si="2">(B11)-(B17)</f>
        <v>419802.06</v>
      </c>
      <c r="C18" s="6">
        <f t="shared" ref="C18:H18" si="3">(C11)-(C17)</f>
        <v>393253.13000000006</v>
      </c>
      <c r="D18" s="6">
        <f t="shared" si="3"/>
        <v>594619.64</v>
      </c>
      <c r="E18" s="6">
        <f t="shared" si="3"/>
        <v>537280.93000000005</v>
      </c>
      <c r="F18" s="6">
        <f t="shared" si="3"/>
        <v>494584.7699999999</v>
      </c>
      <c r="G18" s="6">
        <f t="shared" si="3"/>
        <v>335131.80999999994</v>
      </c>
      <c r="H18" s="6">
        <f t="shared" si="3"/>
        <v>347177</v>
      </c>
      <c r="I18" s="8" t="e">
        <f>+H18+#REF!</f>
        <v>#REF!</v>
      </c>
    </row>
    <row r="19" spans="1:9" hidden="1" x14ac:dyDescent="0.25">
      <c r="A19" s="2" t="s">
        <v>16</v>
      </c>
      <c r="B19" s="6"/>
      <c r="C19" s="6"/>
      <c r="D19" s="6"/>
      <c r="E19" s="6"/>
      <c r="F19" s="6"/>
      <c r="G19" s="6"/>
      <c r="H19" s="6"/>
      <c r="I19" s="8" t="e">
        <f>+H19+#REF!</f>
        <v>#REF!</v>
      </c>
    </row>
    <row r="20" spans="1:9" hidden="1" x14ac:dyDescent="0.25">
      <c r="A20" s="2" t="s">
        <v>17</v>
      </c>
      <c r="B20" s="6">
        <f>6123.61</f>
        <v>6123.61</v>
      </c>
      <c r="C20" s="6">
        <f>6123.61</f>
        <v>6123.61</v>
      </c>
      <c r="D20" s="6">
        <f>6446.72</f>
        <v>6446.72</v>
      </c>
      <c r="E20" s="6">
        <f>6367.44</f>
        <v>6367.44</v>
      </c>
      <c r="F20" s="6">
        <f>5465.2</f>
        <v>5465.2</v>
      </c>
      <c r="G20" s="6">
        <f>4725.55</f>
        <v>4725.55</v>
      </c>
      <c r="H20" s="6">
        <f>1508.62</f>
        <v>1508.62</v>
      </c>
      <c r="I20" s="8" t="e">
        <f>+H20+#REF!</f>
        <v>#REF!</v>
      </c>
    </row>
    <row r="21" spans="1:9" ht="23.25" hidden="1" x14ac:dyDescent="0.25">
      <c r="A21" s="2" t="s">
        <v>18</v>
      </c>
      <c r="B21" s="6">
        <f>2958.22</f>
        <v>2958.22</v>
      </c>
      <c r="C21" s="6">
        <f>2958.22</f>
        <v>2958.22</v>
      </c>
      <c r="D21" s="6">
        <f>7563.67</f>
        <v>7563.67</v>
      </c>
      <c r="E21" s="6">
        <f>2295</f>
        <v>2295</v>
      </c>
      <c r="F21" s="6">
        <f>1032.12</f>
        <v>1032.1199999999999</v>
      </c>
      <c r="G21" s="6">
        <f>659.24</f>
        <v>659.24</v>
      </c>
      <c r="H21" s="6">
        <f>977.33</f>
        <v>977.33</v>
      </c>
      <c r="I21" s="8" t="e">
        <f>+H21+#REF!</f>
        <v>#REF!</v>
      </c>
    </row>
    <row r="22" spans="1:9" hidden="1" x14ac:dyDescent="0.25">
      <c r="A22" s="2" t="s">
        <v>19</v>
      </c>
      <c r="B22" s="6">
        <f>9968.71</f>
        <v>9968.7099999999991</v>
      </c>
      <c r="C22" s="6">
        <f>9968.71</f>
        <v>9968.7099999999991</v>
      </c>
      <c r="D22" s="6">
        <f>8299.24</f>
        <v>8299.24</v>
      </c>
      <c r="E22" s="6">
        <f>20214.95</f>
        <v>20214.95</v>
      </c>
      <c r="F22" s="6">
        <f>11312.32</f>
        <v>11312.32</v>
      </c>
      <c r="G22" s="6">
        <f>14180.03</f>
        <v>14180.03</v>
      </c>
      <c r="H22" s="6">
        <f>3931.23</f>
        <v>3931.23</v>
      </c>
      <c r="I22" s="8" t="e">
        <f>+H22+#REF!</f>
        <v>#REF!</v>
      </c>
    </row>
    <row r="23" spans="1:9" ht="23.25" hidden="1" x14ac:dyDescent="0.25">
      <c r="A23" s="2" t="s">
        <v>20</v>
      </c>
      <c r="B23" s="6">
        <f>34261.54</f>
        <v>34261.54</v>
      </c>
      <c r="C23" s="6">
        <f>34261.54</f>
        <v>34261.54</v>
      </c>
      <c r="D23" s="6">
        <f>17023.42</f>
        <v>17023.419999999998</v>
      </c>
      <c r="E23" s="6">
        <f>4888.67</f>
        <v>4888.67</v>
      </c>
      <c r="F23" s="6"/>
      <c r="G23" s="6">
        <f>1117.5</f>
        <v>1117.5</v>
      </c>
      <c r="H23" s="6">
        <f>2346.98</f>
        <v>2346.98</v>
      </c>
      <c r="I23" s="8" t="e">
        <f>+H23+#REF!</f>
        <v>#REF!</v>
      </c>
    </row>
    <row r="24" spans="1:9" hidden="1" x14ac:dyDescent="0.25">
      <c r="A24" s="2" t="s">
        <v>21</v>
      </c>
      <c r="B24" s="6">
        <f>13247.42</f>
        <v>13247.42</v>
      </c>
      <c r="C24" s="6">
        <f>13247.42</f>
        <v>13247.42</v>
      </c>
      <c r="D24" s="6">
        <f>12116.24</f>
        <v>12116.24</v>
      </c>
      <c r="E24" s="6">
        <f>5741.09</f>
        <v>5741.09</v>
      </c>
      <c r="F24" s="6">
        <f>1521.65</f>
        <v>1521.65</v>
      </c>
      <c r="G24" s="6"/>
      <c r="H24" s="6"/>
      <c r="I24" s="8" t="e">
        <f>+H24+#REF!</f>
        <v>#REF!</v>
      </c>
    </row>
    <row r="25" spans="1:9" hidden="1" x14ac:dyDescent="0.25">
      <c r="A25" s="2" t="s">
        <v>22</v>
      </c>
      <c r="B25" s="6">
        <f>138802.22</f>
        <v>138802.22</v>
      </c>
      <c r="C25" s="6">
        <f>138802.22</f>
        <v>138802.22</v>
      </c>
      <c r="D25" s="6">
        <f>169206.39</f>
        <v>169206.39</v>
      </c>
      <c r="E25" s="6">
        <f>51465.22</f>
        <v>51465.22</v>
      </c>
      <c r="F25" s="6">
        <f>0</f>
        <v>0</v>
      </c>
      <c r="G25" s="6"/>
      <c r="H25" s="6"/>
      <c r="I25" s="8" t="e">
        <f>+H25+#REF!</f>
        <v>#REF!</v>
      </c>
    </row>
    <row r="26" spans="1:9" hidden="1" x14ac:dyDescent="0.25">
      <c r="A26" s="2" t="s">
        <v>23</v>
      </c>
      <c r="B26" s="6">
        <f>26000</f>
        <v>26000</v>
      </c>
      <c r="C26" s="6">
        <f>26000</f>
        <v>26000</v>
      </c>
      <c r="D26" s="6">
        <f>27500</f>
        <v>27500</v>
      </c>
      <c r="E26" s="6">
        <f>36000</f>
        <v>36000</v>
      </c>
      <c r="F26" s="6">
        <f>36000</f>
        <v>36000</v>
      </c>
      <c r="G26" s="6">
        <f>36000</f>
        <v>36000</v>
      </c>
      <c r="H26" s="6">
        <f>15000</f>
        <v>15000</v>
      </c>
      <c r="I26" s="8" t="e">
        <f>+H26+#REF!</f>
        <v>#REF!</v>
      </c>
    </row>
    <row r="27" spans="1:9" hidden="1" x14ac:dyDescent="0.25">
      <c r="A27" s="2" t="s">
        <v>24</v>
      </c>
      <c r="B27" s="6">
        <f>24180</f>
        <v>24180</v>
      </c>
      <c r="C27" s="6">
        <f>24180</f>
        <v>24180</v>
      </c>
      <c r="D27" s="6">
        <f>11625</f>
        <v>11625</v>
      </c>
      <c r="E27" s="6"/>
      <c r="F27" s="6">
        <f>20356.75</f>
        <v>20356.75</v>
      </c>
      <c r="G27" s="6">
        <f>38436.71</f>
        <v>38436.71</v>
      </c>
      <c r="H27" s="6">
        <f>17256.9</f>
        <v>17256.900000000001</v>
      </c>
      <c r="I27" s="8" t="e">
        <f>+H27+#REF!</f>
        <v>#REF!</v>
      </c>
    </row>
    <row r="28" spans="1:9" ht="23.25" hidden="1" x14ac:dyDescent="0.25">
      <c r="A28" s="2" t="s">
        <v>25</v>
      </c>
      <c r="B28" s="6">
        <f>1122.81</f>
        <v>1122.81</v>
      </c>
      <c r="C28" s="6">
        <f>1122.81</f>
        <v>1122.81</v>
      </c>
      <c r="D28" s="6">
        <f>938.33</f>
        <v>938.33</v>
      </c>
      <c r="E28" s="6">
        <f>1015.2</f>
        <v>1015.2</v>
      </c>
      <c r="F28" s="6">
        <f>1043.4</f>
        <v>1043.4000000000001</v>
      </c>
      <c r="G28" s="6">
        <f>1000.84</f>
        <v>1000.84</v>
      </c>
      <c r="H28" s="6">
        <f>404.08</f>
        <v>404.08</v>
      </c>
      <c r="I28" s="8" t="e">
        <f>+H28+#REF!</f>
        <v>#REF!</v>
      </c>
    </row>
    <row r="29" spans="1:9" ht="23.25" hidden="1" x14ac:dyDescent="0.25">
      <c r="A29" s="2" t="s">
        <v>26</v>
      </c>
      <c r="B29" s="6"/>
      <c r="C29" s="6"/>
      <c r="D29" s="6"/>
      <c r="E29" s="6"/>
      <c r="F29" s="6">
        <f>-3.2</f>
        <v>-3.2</v>
      </c>
      <c r="G29" s="6"/>
      <c r="H29" s="6"/>
      <c r="I29" s="8" t="e">
        <f>+H29+#REF!</f>
        <v>#REF!</v>
      </c>
    </row>
    <row r="30" spans="1:9" hidden="1" x14ac:dyDescent="0.25">
      <c r="A30" s="2" t="s">
        <v>27</v>
      </c>
      <c r="B30" s="6">
        <f>13006.89</f>
        <v>13006.89</v>
      </c>
      <c r="C30" s="6">
        <f>13006.89</f>
        <v>13006.89</v>
      </c>
      <c r="D30" s="6">
        <f>12607.25</f>
        <v>12607.25</v>
      </c>
      <c r="E30" s="6">
        <f>20948.14</f>
        <v>20948.14</v>
      </c>
      <c r="F30" s="6">
        <f>11651.67</f>
        <v>11651.67</v>
      </c>
      <c r="G30" s="6">
        <f>18214.82</f>
        <v>18214.82</v>
      </c>
      <c r="H30" s="6">
        <f>2348.73</f>
        <v>2348.73</v>
      </c>
      <c r="I30" s="8" t="e">
        <f>+H30+#REF!</f>
        <v>#REF!</v>
      </c>
    </row>
    <row r="31" spans="1:9" hidden="1" x14ac:dyDescent="0.25">
      <c r="A31" s="2" t="s">
        <v>28</v>
      </c>
      <c r="B31" s="6">
        <f>71157.99</f>
        <v>71157.990000000005</v>
      </c>
      <c r="C31" s="6">
        <f>71157.99</f>
        <v>71157.990000000005</v>
      </c>
      <c r="D31" s="6">
        <f>36887.52</f>
        <v>36887.519999999997</v>
      </c>
      <c r="E31" s="6">
        <f>23447.3</f>
        <v>23447.3</v>
      </c>
      <c r="F31" s="6">
        <f>20899.92</f>
        <v>20899.919999999998</v>
      </c>
      <c r="G31" s="6">
        <f>26515.65</f>
        <v>26515.65</v>
      </c>
      <c r="H31" s="6">
        <f>11688.84</f>
        <v>11688.84</v>
      </c>
      <c r="I31" s="8" t="e">
        <f>+H31+#REF!</f>
        <v>#REF!</v>
      </c>
    </row>
    <row r="32" spans="1:9" hidden="1" x14ac:dyDescent="0.25">
      <c r="A32" s="2" t="s">
        <v>29</v>
      </c>
      <c r="B32" s="6">
        <f>9201.46</f>
        <v>9201.4599999999991</v>
      </c>
      <c r="C32" s="6">
        <f>9201.46</f>
        <v>9201.4599999999991</v>
      </c>
      <c r="D32" s="6">
        <f>6463.6</f>
        <v>6463.6</v>
      </c>
      <c r="E32" s="6">
        <f>11219.23</f>
        <v>11219.23</v>
      </c>
      <c r="F32" s="6">
        <f>8798.26</f>
        <v>8798.26</v>
      </c>
      <c r="G32" s="6">
        <f>8610.32</f>
        <v>8610.32</v>
      </c>
      <c r="H32" s="6">
        <f>1638.83</f>
        <v>1638.83</v>
      </c>
      <c r="I32" s="8" t="e">
        <f>+H32+#REF!</f>
        <v>#REF!</v>
      </c>
    </row>
    <row r="33" spans="1:9" hidden="1" x14ac:dyDescent="0.25">
      <c r="A33" s="2" t="s">
        <v>30</v>
      </c>
      <c r="B33" s="6"/>
      <c r="C33" s="6"/>
      <c r="D33" s="6"/>
      <c r="E33" s="6">
        <f>99937.38</f>
        <v>99937.38</v>
      </c>
      <c r="F33" s="6">
        <f>163264.03</f>
        <v>163264.03</v>
      </c>
      <c r="G33" s="6">
        <f>145628.36</f>
        <v>145628.35999999999</v>
      </c>
      <c r="H33" s="6">
        <f>128366.62</f>
        <v>128366.62</v>
      </c>
      <c r="I33" s="8" t="e">
        <f>+H33+#REF!</f>
        <v>#REF!</v>
      </c>
    </row>
    <row r="34" spans="1:9" x14ac:dyDescent="0.25">
      <c r="A34" s="2" t="s">
        <v>31</v>
      </c>
      <c r="B34" s="6">
        <v>277547.18</v>
      </c>
      <c r="C34" s="6">
        <f t="shared" ref="C34:H34" si="4">(((((((((((((C20)+(C21))+(C22))+(C23))+(C24))+(C25))+(C26))+(C27))+(C28))+(C29))+(C30))+(C31))+(C32))+(C33)</f>
        <v>350030.87</v>
      </c>
      <c r="D34" s="6">
        <f t="shared" si="4"/>
        <v>316677.38</v>
      </c>
      <c r="E34" s="6">
        <f t="shared" si="4"/>
        <v>283539.62</v>
      </c>
      <c r="F34" s="6">
        <f t="shared" si="4"/>
        <v>281342.12</v>
      </c>
      <c r="G34" s="6">
        <f t="shared" si="4"/>
        <v>295089.02</v>
      </c>
      <c r="H34" s="6">
        <v>210922</v>
      </c>
      <c r="I34" s="8">
        <v>285468.15999999997</v>
      </c>
    </row>
    <row r="35" spans="1:9" hidden="1" x14ac:dyDescent="0.25">
      <c r="A35" s="2" t="s">
        <v>32</v>
      </c>
      <c r="B35" s="6"/>
      <c r="C35" s="6"/>
      <c r="D35" s="6"/>
      <c r="E35" s="6"/>
      <c r="F35" s="6"/>
      <c r="G35" s="6"/>
      <c r="H35" s="6"/>
      <c r="I35" s="9"/>
    </row>
    <row r="36" spans="1:9" hidden="1" x14ac:dyDescent="0.25">
      <c r="A36" s="2" t="s">
        <v>33</v>
      </c>
      <c r="B36" s="6"/>
      <c r="C36" s="6"/>
      <c r="D36" s="6"/>
      <c r="E36" s="6">
        <f>10000</f>
        <v>10000</v>
      </c>
      <c r="F36" s="6"/>
      <c r="G36" s="6"/>
      <c r="H36" s="6"/>
      <c r="I36" s="9"/>
    </row>
    <row r="37" spans="1:9" hidden="1" x14ac:dyDescent="0.25">
      <c r="A37" s="2" t="s">
        <v>34</v>
      </c>
      <c r="B37" s="6"/>
      <c r="C37" s="6"/>
      <c r="D37" s="6"/>
      <c r="E37" s="6">
        <f>712.31</f>
        <v>712.31</v>
      </c>
      <c r="F37" s="6"/>
      <c r="G37" s="6"/>
      <c r="H37" s="6"/>
      <c r="I37" s="9"/>
    </row>
    <row r="38" spans="1:9" x14ac:dyDescent="0.25">
      <c r="A38" s="2" t="s">
        <v>35</v>
      </c>
      <c r="B38" s="6">
        <f t="shared" ref="B38" si="5">(B36)+(B37)</f>
        <v>0</v>
      </c>
      <c r="C38" s="6">
        <f t="shared" ref="C38:H38" si="6">(C36)+(C37)</f>
        <v>0</v>
      </c>
      <c r="D38" s="6">
        <f t="shared" si="6"/>
        <v>0</v>
      </c>
      <c r="E38" s="6">
        <f t="shared" si="6"/>
        <v>10712.31</v>
      </c>
      <c r="F38" s="6">
        <f t="shared" si="6"/>
        <v>0</v>
      </c>
      <c r="G38" s="6">
        <f t="shared" si="6"/>
        <v>0</v>
      </c>
      <c r="H38" s="6">
        <f t="shared" si="6"/>
        <v>0</v>
      </c>
      <c r="I38" s="9"/>
    </row>
    <row r="39" spans="1:9" hidden="1" x14ac:dyDescent="0.25">
      <c r="A39" s="2" t="s">
        <v>36</v>
      </c>
      <c r="B39" s="6"/>
      <c r="C39" s="6"/>
      <c r="D39" s="6"/>
      <c r="E39" s="6"/>
      <c r="F39" s="6"/>
      <c r="G39" s="6"/>
      <c r="H39" s="6"/>
      <c r="I39" s="9"/>
    </row>
    <row r="40" spans="1:9" hidden="1" x14ac:dyDescent="0.25">
      <c r="A40" s="2" t="s">
        <v>37</v>
      </c>
      <c r="B40" s="6">
        <f>-828.06</f>
        <v>-828.06</v>
      </c>
      <c r="C40" s="6">
        <f>-828.06</f>
        <v>-828.06</v>
      </c>
      <c r="D40" s="6">
        <f>2653.54</f>
        <v>2653.54</v>
      </c>
      <c r="E40" s="6">
        <f>261.24</f>
        <v>261.24</v>
      </c>
      <c r="F40" s="6">
        <f>-2024.26</f>
        <v>-2024.26</v>
      </c>
      <c r="G40" s="6">
        <f>-59.2</f>
        <v>-59.2</v>
      </c>
      <c r="H40" s="6">
        <f>0</f>
        <v>0</v>
      </c>
      <c r="I40" s="9"/>
    </row>
    <row r="41" spans="1:9" hidden="1" x14ac:dyDescent="0.25">
      <c r="A41" s="2" t="s">
        <v>38</v>
      </c>
      <c r="B41" s="6">
        <f>9332.83</f>
        <v>9332.83</v>
      </c>
      <c r="C41" s="6">
        <f>9332.83</f>
        <v>9332.83</v>
      </c>
      <c r="D41" s="6">
        <f>7134.56</f>
        <v>7134.56</v>
      </c>
      <c r="E41" s="6">
        <f>6606.22</f>
        <v>6606.22</v>
      </c>
      <c r="F41" s="6">
        <f>14783.31</f>
        <v>14783.31</v>
      </c>
      <c r="G41" s="6"/>
      <c r="H41" s="6"/>
      <c r="I41" s="9"/>
    </row>
    <row r="42" spans="1:9" hidden="1" x14ac:dyDescent="0.25">
      <c r="A42" s="2" t="s">
        <v>39</v>
      </c>
      <c r="B42" s="6">
        <f>6714.71</f>
        <v>6714.71</v>
      </c>
      <c r="C42" s="6">
        <f>6714.71</f>
        <v>6714.71</v>
      </c>
      <c r="D42" s="6">
        <f>15477.03</f>
        <v>15477.03</v>
      </c>
      <c r="E42" s="6"/>
      <c r="F42" s="6">
        <f>22449</f>
        <v>22449</v>
      </c>
      <c r="G42" s="6"/>
      <c r="H42" s="6"/>
      <c r="I42" s="9"/>
    </row>
    <row r="43" spans="1:9" hidden="1" x14ac:dyDescent="0.25">
      <c r="A43" s="2" t="s">
        <v>40</v>
      </c>
      <c r="B43" s="6">
        <f>-3356.81</f>
        <v>-3356.81</v>
      </c>
      <c r="C43" s="6">
        <f>-3356.81</f>
        <v>-3356.81</v>
      </c>
      <c r="D43" s="6">
        <f>5230.32</f>
        <v>5230.32</v>
      </c>
      <c r="E43" s="6">
        <f>9758.74</f>
        <v>9758.74</v>
      </c>
      <c r="F43" s="6">
        <f>8600.51</f>
        <v>8600.51</v>
      </c>
      <c r="G43" s="6">
        <f>2282.6</f>
        <v>2282.6</v>
      </c>
      <c r="H43" s="6">
        <f>-25.23</f>
        <v>-25.23</v>
      </c>
      <c r="I43" s="9"/>
    </row>
    <row r="44" spans="1:9" ht="23.25" hidden="1" x14ac:dyDescent="0.25">
      <c r="A44" s="2" t="s">
        <v>41</v>
      </c>
      <c r="B44" s="6"/>
      <c r="C44" s="6"/>
      <c r="D44" s="6"/>
      <c r="E44" s="6"/>
      <c r="F44" s="6">
        <f>-3.6</f>
        <v>-3.6</v>
      </c>
      <c r="G44" s="6"/>
      <c r="H44" s="6"/>
      <c r="I44" s="9"/>
    </row>
    <row r="45" spans="1:9" x14ac:dyDescent="0.25">
      <c r="A45" s="2" t="s">
        <v>42</v>
      </c>
      <c r="B45" s="7">
        <v>16442.12</v>
      </c>
      <c r="C45" s="7">
        <f t="shared" ref="C45:G45" si="7">((((C40)+(C41))+(C42))+(C43))+(C44)</f>
        <v>11862.67</v>
      </c>
      <c r="D45" s="7">
        <f t="shared" si="7"/>
        <v>30495.45</v>
      </c>
      <c r="E45" s="7">
        <f t="shared" si="7"/>
        <v>16626.2</v>
      </c>
      <c r="F45" s="7">
        <f t="shared" si="7"/>
        <v>43804.960000000006</v>
      </c>
      <c r="G45" s="7">
        <f t="shared" si="7"/>
        <v>2223.4</v>
      </c>
      <c r="H45" s="7">
        <v>1100</v>
      </c>
      <c r="I45" s="10">
        <v>2100</v>
      </c>
    </row>
    <row r="46" spans="1:9" x14ac:dyDescent="0.25">
      <c r="A46" s="2" t="s">
        <v>43</v>
      </c>
      <c r="B46" s="6">
        <f t="shared" ref="B46" si="8">(((B18)-(B34))+(B38))-(B45)</f>
        <v>125812.76000000001</v>
      </c>
      <c r="C46" s="6">
        <f t="shared" ref="C46:H46" si="9">(((C18)-(C34))+(C38))-(C45)</f>
        <v>31359.590000000069</v>
      </c>
      <c r="D46" s="6">
        <f t="shared" si="9"/>
        <v>247446.81</v>
      </c>
      <c r="E46" s="6">
        <f t="shared" si="9"/>
        <v>247827.42000000004</v>
      </c>
      <c r="F46" s="6">
        <f t="shared" si="9"/>
        <v>169437.68999999989</v>
      </c>
      <c r="G46" s="6">
        <f t="shared" si="9"/>
        <v>37819.389999999919</v>
      </c>
      <c r="H46" s="6">
        <f t="shared" si="9"/>
        <v>135155</v>
      </c>
      <c r="I46" s="8">
        <v>209706.02</v>
      </c>
    </row>
    <row r="47" spans="1:9" x14ac:dyDescent="0.25">
      <c r="A47" s="2"/>
      <c r="B47" s="2"/>
      <c r="C47" s="3"/>
      <c r="D47" s="3"/>
      <c r="E47" s="3"/>
      <c r="F47" s="3"/>
      <c r="G47" s="3"/>
      <c r="H47" s="3"/>
    </row>
    <row r="50" spans="1:8" x14ac:dyDescent="0.25">
      <c r="A50" s="15"/>
      <c r="B50" s="15"/>
      <c r="C50" s="16"/>
      <c r="D50" s="16"/>
      <c r="E50" s="16"/>
      <c r="F50" s="16"/>
      <c r="G50" s="16"/>
      <c r="H50" s="16"/>
    </row>
    <row r="67" spans="1:3" x14ac:dyDescent="0.25">
      <c r="A67" s="12" t="s">
        <v>49</v>
      </c>
      <c r="B67" s="12"/>
      <c r="C67" s="13"/>
    </row>
    <row r="68" spans="1:3" x14ac:dyDescent="0.25">
      <c r="A68" s="13" t="s">
        <v>71</v>
      </c>
      <c r="B68" s="12"/>
      <c r="C68" s="13" t="s">
        <v>70</v>
      </c>
    </row>
    <row r="69" spans="1:3" x14ac:dyDescent="0.25">
      <c r="A69" s="13" t="s">
        <v>50</v>
      </c>
      <c r="B69" s="13"/>
      <c r="C69" s="14" t="s">
        <v>51</v>
      </c>
    </row>
    <row r="70" spans="1:3" x14ac:dyDescent="0.25">
      <c r="A70" s="13" t="s">
        <v>74</v>
      </c>
      <c r="B70" s="13"/>
      <c r="C70" s="14" t="s">
        <v>59</v>
      </c>
    </row>
    <row r="71" spans="1:3" x14ac:dyDescent="0.25">
      <c r="A71" s="13" t="s">
        <v>58</v>
      </c>
      <c r="B71" s="13"/>
      <c r="C71" s="14" t="s">
        <v>59</v>
      </c>
    </row>
    <row r="72" spans="1:3" x14ac:dyDescent="0.25">
      <c r="A72" s="13" t="s">
        <v>68</v>
      </c>
      <c r="B72" s="13"/>
      <c r="C72" s="14" t="s">
        <v>69</v>
      </c>
    </row>
    <row r="73" spans="1:3" x14ac:dyDescent="0.25">
      <c r="A73" s="13" t="s">
        <v>72</v>
      </c>
      <c r="B73" s="13"/>
      <c r="C73" s="14" t="s">
        <v>73</v>
      </c>
    </row>
    <row r="74" spans="1:3" x14ac:dyDescent="0.25">
      <c r="A74" s="13" t="s">
        <v>56</v>
      </c>
      <c r="B74" s="13"/>
      <c r="C74" s="14" t="s">
        <v>57</v>
      </c>
    </row>
    <row r="75" spans="1:3" x14ac:dyDescent="0.25">
      <c r="A75" s="13" t="s">
        <v>65</v>
      </c>
      <c r="B75" s="13"/>
      <c r="C75" s="14" t="s">
        <v>75</v>
      </c>
    </row>
    <row r="76" spans="1:3" x14ac:dyDescent="0.25">
      <c r="A76" s="13" t="s">
        <v>66</v>
      </c>
      <c r="B76" s="13"/>
      <c r="C76" s="14" t="s">
        <v>67</v>
      </c>
    </row>
    <row r="77" spans="1:3" x14ac:dyDescent="0.25">
      <c r="A77" s="13" t="s">
        <v>52</v>
      </c>
      <c r="B77" s="13"/>
      <c r="C77" s="13" t="s">
        <v>53</v>
      </c>
    </row>
    <row r="78" spans="1:3" x14ac:dyDescent="0.25">
      <c r="A78" s="13" t="s">
        <v>54</v>
      </c>
      <c r="B78" s="13"/>
      <c r="C78" s="13" t="s">
        <v>55</v>
      </c>
    </row>
    <row r="79" spans="1:3" x14ac:dyDescent="0.25">
      <c r="A79" s="13" t="s">
        <v>77</v>
      </c>
      <c r="B79" s="13"/>
      <c r="C79" s="13" t="s">
        <v>78</v>
      </c>
    </row>
    <row r="80" spans="1:3" x14ac:dyDescent="0.25">
      <c r="A80" s="13" t="s">
        <v>60</v>
      </c>
      <c r="B80" s="13"/>
      <c r="C80" s="14" t="s">
        <v>61</v>
      </c>
    </row>
    <row r="81" spans="1:3" x14ac:dyDescent="0.25">
      <c r="A81" s="13" t="s">
        <v>62</v>
      </c>
      <c r="B81" s="13"/>
      <c r="C81" s="14" t="s">
        <v>63</v>
      </c>
    </row>
  </sheetData>
  <mergeCells count="4">
    <mergeCell ref="A50:H50"/>
    <mergeCell ref="A1:I1"/>
    <mergeCell ref="A2:I2"/>
    <mergeCell ref="A3:I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Diane Peters</cp:lastModifiedBy>
  <dcterms:created xsi:type="dcterms:W3CDTF">2023-08-09T06:21:58Z</dcterms:created>
  <dcterms:modified xsi:type="dcterms:W3CDTF">2023-09-12T21:22:48Z</dcterms:modified>
</cp:coreProperties>
</file>